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Расчет комф и поправок" sheetId="2" r:id="rId2"/>
    <sheet name="Лист3" sheetId="3" r:id="rId3"/>
  </sheets>
  <definedNames>
    <definedName name="_xlnm._FilterDatabase" localSheetId="0" hidden="1">'Расчет комф и поправок'!$B$15:$B$16</definedName>
  </definedNames>
  <calcPr calcId="144525"/>
</workbook>
</file>

<file path=xl/calcChain.xml><?xml version="1.0" encoding="utf-8"?>
<calcChain xmlns="http://schemas.openxmlformats.org/spreadsheetml/2006/main">
  <c r="K17" i="1" l="1"/>
  <c r="D16" i="1"/>
  <c r="E16" i="1"/>
  <c r="F16" i="1"/>
  <c r="G16" i="1"/>
  <c r="H16" i="1"/>
  <c r="I16" i="1"/>
  <c r="J16" i="1"/>
  <c r="K16" i="1"/>
  <c r="C16" i="1"/>
  <c r="N10" i="1" l="1"/>
  <c r="O8" i="1"/>
  <c r="N15" i="1" l="1"/>
  <c r="D15" i="1"/>
  <c r="E15" i="1"/>
  <c r="F15" i="1"/>
  <c r="G15" i="1"/>
  <c r="H15" i="1"/>
  <c r="I15" i="1"/>
  <c r="J15" i="1"/>
  <c r="K15" i="1"/>
  <c r="L15" i="1"/>
  <c r="M15" i="1"/>
  <c r="O15" i="1"/>
  <c r="C15" i="1"/>
  <c r="N8" i="1" l="1"/>
  <c r="F4" i="2" l="1"/>
  <c r="F3" i="2"/>
  <c r="D9" i="2"/>
  <c r="E9" i="2"/>
  <c r="F9" i="2"/>
  <c r="G9" i="2"/>
  <c r="H9" i="2"/>
  <c r="C9" i="2"/>
  <c r="D21" i="2" l="1"/>
  <c r="D20" i="2"/>
  <c r="D19" i="2"/>
  <c r="D18" i="2"/>
  <c r="M8" i="2"/>
  <c r="G8" i="2"/>
  <c r="E8" i="2"/>
  <c r="D8" i="2"/>
  <c r="C8" i="2"/>
  <c r="M6" i="2"/>
  <c r="G6" i="2"/>
  <c r="E6" i="2"/>
  <c r="D6" i="2"/>
  <c r="C6" i="2"/>
  <c r="N5" i="2"/>
  <c r="L5" i="2"/>
  <c r="J5" i="2"/>
  <c r="H5" i="2"/>
  <c r="F5" i="2"/>
  <c r="N4" i="2"/>
  <c r="L4" i="2"/>
  <c r="O4" i="2" s="1"/>
  <c r="H4" i="2"/>
  <c r="J4" i="2" s="1"/>
  <c r="N3" i="2"/>
  <c r="N8" i="2" s="1"/>
  <c r="K3" i="2"/>
  <c r="K8" i="2" s="1"/>
  <c r="H3" i="2"/>
  <c r="H8" i="2" s="1"/>
  <c r="F8" i="2"/>
  <c r="G13" i="2" s="1"/>
  <c r="O5" i="2" l="1"/>
  <c r="D15" i="2"/>
  <c r="D39" i="2" s="1"/>
  <c r="O19" i="2"/>
  <c r="N6" i="2"/>
  <c r="J3" i="2"/>
  <c r="L3" i="2"/>
  <c r="F6" i="2"/>
  <c r="G7" i="2" s="1"/>
  <c r="H6" i="2"/>
  <c r="K6" i="2"/>
  <c r="O3" i="2" l="1"/>
  <c r="O8" i="2" s="1"/>
  <c r="O13" i="2" s="1"/>
  <c r="O14" i="2" s="1"/>
  <c r="L8" i="2"/>
  <c r="L6" i="2"/>
  <c r="O6" i="2" s="1"/>
  <c r="H7" i="2"/>
  <c r="J8" i="2"/>
  <c r="J6" i="2"/>
  <c r="K11" i="1"/>
  <c r="L14" i="1" l="1"/>
  <c r="AK14" i="1"/>
  <c r="Y14" i="1"/>
  <c r="AL15" i="1" l="1"/>
  <c r="AJ15" i="1"/>
  <c r="AI15" i="1"/>
  <c r="AH15" i="1"/>
  <c r="AG15" i="1"/>
  <c r="AF15" i="1"/>
  <c r="AE15" i="1"/>
  <c r="AD15" i="1"/>
  <c r="AC15" i="1"/>
  <c r="AN14" i="1"/>
  <c r="AN13" i="1"/>
  <c r="AM15" i="1"/>
  <c r="AN12" i="1"/>
  <c r="AK12" i="1"/>
  <c r="AN11" i="1"/>
  <c r="AK11" i="1"/>
  <c r="AN10" i="1"/>
  <c r="AK10" i="1"/>
  <c r="AN9" i="1"/>
  <c r="AK9" i="1"/>
  <c r="AN8" i="1"/>
  <c r="AK8" i="1"/>
  <c r="AK15" i="1" s="1"/>
  <c r="Z15" i="1"/>
  <c r="X15" i="1"/>
  <c r="W15" i="1"/>
  <c r="V15" i="1"/>
  <c r="U15" i="1"/>
  <c r="T15" i="1"/>
  <c r="S15" i="1"/>
  <c r="R15" i="1"/>
  <c r="Q15" i="1"/>
  <c r="AB14" i="1"/>
  <c r="AB13" i="1"/>
  <c r="AA15" i="1"/>
  <c r="AB12" i="1"/>
  <c r="Y12" i="1"/>
  <c r="AB11" i="1"/>
  <c r="Y11" i="1"/>
  <c r="AB10" i="1"/>
  <c r="Y10" i="1"/>
  <c r="AB9" i="1"/>
  <c r="Y9" i="1"/>
  <c r="AB8" i="1"/>
  <c r="Y8" i="1"/>
  <c r="Y15" i="1" s="1"/>
  <c r="AB15" i="1" l="1"/>
  <c r="AN15" i="1"/>
  <c r="L9" i="1"/>
  <c r="L12" i="1"/>
  <c r="L11" i="1"/>
  <c r="L8" i="1"/>
  <c r="L10" i="1" l="1"/>
  <c r="P14" i="1" l="1"/>
  <c r="P13" i="1"/>
  <c r="P12" i="1"/>
  <c r="P11" i="1"/>
  <c r="P10" i="1"/>
  <c r="P9" i="1"/>
  <c r="P8" i="1"/>
  <c r="P15" i="1" l="1"/>
</calcChain>
</file>

<file path=xl/sharedStrings.xml><?xml version="1.0" encoding="utf-8"?>
<sst xmlns="http://schemas.openxmlformats.org/spreadsheetml/2006/main" count="94" uniqueCount="66">
  <si>
    <t>N п/п</t>
  </si>
  <si>
    <t>Наименование</t>
  </si>
  <si>
    <t>городское поселение город Бабаево</t>
  </si>
  <si>
    <t>сельское поселение Бабаевское</t>
  </si>
  <si>
    <t>сельское поселение Борисовское</t>
  </si>
  <si>
    <t xml:space="preserve">сельское поселение     Вепсское национальное </t>
  </si>
  <si>
    <t>сельское поселение Пяжозерское</t>
  </si>
  <si>
    <t>сельское поселение  Санинское</t>
  </si>
  <si>
    <t>сельское поселение Тороповское</t>
  </si>
  <si>
    <t xml:space="preserve">итого </t>
  </si>
  <si>
    <t>Формирование и исполнение бюджета</t>
  </si>
  <si>
    <t>Распоряжение имуществом, находящимся в муниципальной собственности</t>
  </si>
  <si>
    <t>Муниципальное хозяйство (архитектура)</t>
  </si>
  <si>
    <t>Осуществление полномочий контрольно-ревизионной комиссией по проверке бюджетов</t>
  </si>
  <si>
    <t>Осуществление полномочий по внутреннему контролю</t>
  </si>
  <si>
    <t>Осуществление полномочий по программному обеспечению</t>
  </si>
  <si>
    <t>Осуществление отдельных полномочий по размещению заказов на поставку товаров, выполнение работ,  оказание услуг для муниципальных нужд</t>
  </si>
  <si>
    <t>Правовое обеспечение деятельности органов местного самоуправления</t>
  </si>
  <si>
    <t>Организация и ведение бухгалтерского учета</t>
  </si>
  <si>
    <t>Осуществление отдельных полномочий по для создания условий для организайции досуга, и обеспечения жителей поселения услугами организаций культуры, библиотечному обслуживанию</t>
  </si>
  <si>
    <t>Итого</t>
  </si>
  <si>
    <t xml:space="preserve">Приложение  11  </t>
  </si>
  <si>
    <t xml:space="preserve">к решению Представительного Собрания   района </t>
  </si>
  <si>
    <t>Осуществление отдельных полномочий по благоустройствe дворовых территорий</t>
  </si>
  <si>
    <t>Средства на осуществление части полномочий по решению вопросов местного значения из бюджетов поселений бюджету муниципального района в соответствии с заключенными соглашениями на 2019 год и плановый период 2020 и 2021 годов</t>
  </si>
  <si>
    <t>тыс.руб.</t>
  </si>
  <si>
    <t>Средства на реализацию проекта "Народный бюджет"</t>
  </si>
  <si>
    <t>Борисовское с/п (ДК Новая старина)</t>
  </si>
  <si>
    <t>Тимошинская котельная</t>
  </si>
  <si>
    <t>автолавка софинансирование</t>
  </si>
  <si>
    <t>ФОК софинансирование</t>
  </si>
  <si>
    <t>Подвоз школьников (контракт)</t>
  </si>
  <si>
    <t>Молодые семьи</t>
  </si>
  <si>
    <t>Ветераны</t>
  </si>
  <si>
    <t>Сельское хозяйство</t>
  </si>
  <si>
    <t>Полномочия торговля</t>
  </si>
  <si>
    <t>Комфортная среда</t>
  </si>
  <si>
    <t>школа №1(входная зона)</t>
  </si>
  <si>
    <t xml:space="preserve">Борисовское с/п </t>
  </si>
  <si>
    <t>Бабаевское с/п</t>
  </si>
  <si>
    <t>Расходы</t>
  </si>
  <si>
    <t>Дотация</t>
  </si>
  <si>
    <t>Дефицит</t>
  </si>
  <si>
    <t>Полномочия торговля + комфортная среда</t>
  </si>
  <si>
    <t>Дорожный фонд восстановление (заим.конт.)</t>
  </si>
  <si>
    <t>Найм жилья, восстановление</t>
  </si>
  <si>
    <t>Доходы, итого</t>
  </si>
  <si>
    <t>Недостаток</t>
  </si>
  <si>
    <t>контракт</t>
  </si>
  <si>
    <t>с.Борисово, Мира, 56</t>
  </si>
  <si>
    <t>Гайдара,  18</t>
  </si>
  <si>
    <t>Гайдара, 38</t>
  </si>
  <si>
    <t>РБ</t>
  </si>
  <si>
    <t>в бюджете</t>
  </si>
  <si>
    <t>+/- контракт</t>
  </si>
  <si>
    <t>+/- экспертиза</t>
  </si>
  <si>
    <t>+/- полномочия</t>
  </si>
  <si>
    <t>в т.ч. город</t>
  </si>
  <si>
    <t>Все поселения</t>
  </si>
  <si>
    <t>Собственные доходы</t>
  </si>
  <si>
    <t>Администрация района</t>
  </si>
  <si>
    <t>ё</t>
  </si>
  <si>
    <t>Экономия (ШИ, вышка, прогр. обеспечение, контейнеры, школа №65)</t>
  </si>
  <si>
    <t>Создание условий для обеспечения жителей поселения услугами общественного питания, торговли и бытового обслуживания</t>
  </si>
  <si>
    <t xml:space="preserve">к решению Представительного Собрания района "О внесении изменений в решение
Представительного Собрания Бабаевского муниципального района  "О бюджете Бабаевского муниципального района на 2019 год и плановый период 2020 и 2021 годов"
приложение 11 </t>
  </si>
  <si>
    <t>ФОТ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</si>
</sst>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0" borderId="1" xfId="0" applyFont="1" applyFill="1" applyBorder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justify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/>
    <xf numFmtId="164" fontId="7" fillId="0" borderId="1" xfId="0" applyNumberFormat="1" applyFont="1" applyFill="1" applyBorder="1"/>
    <xf numFmtId="0" fontId="8" fillId="0" borderId="0" xfId="0" applyFont="1"/>
    <xf numFmtId="0" fontId="0" fillId="0" borderId="1" xfId="0" applyBorder="1"/>
    <xf numFmtId="164" fontId="3" fillId="2" borderId="1" xfId="0" applyNumberFormat="1" applyFont="1" applyFill="1" applyBorder="1"/>
    <xf numFmtId="164" fontId="0" fillId="0" borderId="1" xfId="0" applyNumberFormat="1" applyBorder="1"/>
    <xf numFmtId="0" fontId="0" fillId="3" borderId="1" xfId="0" applyFill="1" applyBorder="1"/>
    <xf numFmtId="0" fontId="0" fillId="0" borderId="3" xfId="0" applyBorder="1"/>
    <xf numFmtId="0" fontId="0" fillId="0" borderId="4" xfId="0" applyBorder="1"/>
    <xf numFmtId="164" fontId="0" fillId="0" borderId="4" xfId="0" applyNumberFormat="1" applyBorder="1"/>
    <xf numFmtId="166" fontId="0" fillId="0" borderId="1" xfId="0" applyNumberFormat="1" applyBorder="1"/>
    <xf numFmtId="164" fontId="0" fillId="0" borderId="3" xfId="0" applyNumberFormat="1" applyBorder="1"/>
    <xf numFmtId="166" fontId="0" fillId="0" borderId="0" xfId="0" applyNumberFormat="1"/>
    <xf numFmtId="165" fontId="0" fillId="0" borderId="1" xfId="0" applyNumberFormat="1" applyBorder="1"/>
    <xf numFmtId="167" fontId="0" fillId="0" borderId="1" xfId="0" applyNumberFormat="1" applyBorder="1"/>
    <xf numFmtId="49" fontId="0" fillId="0" borderId="0" xfId="0" applyNumberFormat="1"/>
    <xf numFmtId="167" fontId="0" fillId="0" borderId="0" xfId="0" applyNumberFormat="1"/>
    <xf numFmtId="0" fontId="10" fillId="0" borderId="5" xfId="0" applyFont="1" applyBorder="1"/>
    <xf numFmtId="0" fontId="10" fillId="0" borderId="6" xfId="0" applyFont="1" applyBorder="1"/>
    <xf numFmtId="164" fontId="10" fillId="0" borderId="7" xfId="0" applyNumberFormat="1" applyFont="1" applyBorder="1"/>
    <xf numFmtId="0" fontId="1" fillId="0" borderId="4" xfId="0" applyFont="1" applyBorder="1"/>
    <xf numFmtId="164" fontId="1" fillId="0" borderId="4" xfId="0" applyNumberFormat="1" applyFont="1" applyBorder="1"/>
    <xf numFmtId="0" fontId="0" fillId="0" borderId="1" xfId="0" applyBorder="1" applyAlignment="1">
      <alignment wrapText="1"/>
    </xf>
    <xf numFmtId="0" fontId="0" fillId="0" borderId="0" xfId="0" applyBorder="1"/>
    <xf numFmtId="166" fontId="0" fillId="0" borderId="0" xfId="0" applyNumberFormat="1" applyBorder="1"/>
    <xf numFmtId="0" fontId="0" fillId="0" borderId="0" xfId="0" applyFill="1"/>
    <xf numFmtId="165" fontId="3" fillId="0" borderId="1" xfId="0" applyNumberFormat="1" applyFont="1" applyFill="1" applyBorder="1"/>
    <xf numFmtId="167" fontId="3" fillId="0" borderId="1" xfId="0" applyNumberFormat="1" applyFont="1" applyFill="1" applyBorder="1"/>
    <xf numFmtId="166" fontId="7" fillId="0" borderId="1" xfId="0" applyNumberFormat="1" applyFont="1" applyFill="1" applyBorder="1"/>
    <xf numFmtId="165" fontId="7" fillId="0" borderId="1" xfId="0" applyNumberFormat="1" applyFont="1" applyFill="1" applyBorder="1"/>
    <xf numFmtId="164" fontId="7" fillId="0" borderId="0" xfId="0" applyNumberFormat="1" applyFont="1" applyFill="1" applyBorder="1"/>
    <xf numFmtId="0" fontId="0" fillId="0" borderId="0" xfId="0" applyFill="1" applyBorder="1"/>
    <xf numFmtId="164" fontId="0" fillId="0" borderId="0" xfId="0" applyNumberFormat="1" applyBorder="1"/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wrapText="1"/>
    </xf>
    <xf numFmtId="0" fontId="3" fillId="0" borderId="8" xfId="0" applyFont="1" applyFill="1" applyBorder="1" applyAlignment="1">
      <alignment horizontal="left" vertical="top" wrapText="1"/>
    </xf>
    <xf numFmtId="164" fontId="10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7"/>
  <sheetViews>
    <sheetView tabSelected="1" topLeftCell="A3" zoomScale="72" zoomScaleNormal="72" workbookViewId="0">
      <selection activeCell="K7" sqref="K7"/>
    </sheetView>
  </sheetViews>
  <sheetFormatPr defaultRowHeight="15" x14ac:dyDescent="0.25"/>
  <cols>
    <col min="1" max="1" width="4.28515625" customWidth="1"/>
    <col min="2" max="2" width="42.7109375" customWidth="1"/>
    <col min="3" max="3" width="10.5703125" customWidth="1"/>
    <col min="4" max="4" width="12.140625" customWidth="1"/>
    <col min="5" max="5" width="11.42578125" customWidth="1"/>
    <col min="6" max="6" width="13.140625" customWidth="1"/>
    <col min="7" max="7" width="13" customWidth="1"/>
    <col min="8" max="9" width="12.42578125" customWidth="1"/>
    <col min="10" max="10" width="13.28515625" customWidth="1"/>
    <col min="11" max="11" width="13.5703125" customWidth="1"/>
    <col min="12" max="12" width="12.42578125" customWidth="1"/>
    <col min="13" max="13" width="10.7109375" hidden="1" customWidth="1"/>
    <col min="14" max="14" width="13.42578125" customWidth="1"/>
    <col min="15" max="15" width="18.28515625" bestFit="1" customWidth="1"/>
    <col min="16" max="16" width="15.85546875" customWidth="1"/>
    <col min="18" max="18" width="8.7109375" customWidth="1"/>
    <col min="19" max="19" width="9.28515625" customWidth="1"/>
    <col min="20" max="20" width="9.5703125" customWidth="1"/>
    <col min="21" max="21" width="9.7109375" customWidth="1"/>
    <col min="22" max="22" width="9" customWidth="1"/>
    <col min="23" max="23" width="12.42578125" customWidth="1"/>
    <col min="26" max="26" width="0" hidden="1" customWidth="1"/>
    <col min="27" max="27" width="12.5703125" customWidth="1"/>
    <col min="30" max="30" width="11.42578125" customWidth="1"/>
    <col min="32" max="32" width="10.140625" customWidth="1"/>
    <col min="38" max="38" width="0" hidden="1" customWidth="1"/>
    <col min="39" max="39" width="12.42578125" customWidth="1"/>
  </cols>
  <sheetData>
    <row r="1" spans="1:40" ht="15.75" x14ac:dyDescent="0.25">
      <c r="A1" t="s">
        <v>61</v>
      </c>
      <c r="O1" s="10" t="s">
        <v>21</v>
      </c>
      <c r="P1" s="10"/>
      <c r="AM1" s="10" t="s">
        <v>21</v>
      </c>
      <c r="AN1" s="10"/>
    </row>
    <row r="2" spans="1:40" ht="158.25" customHeight="1" x14ac:dyDescent="0.25">
      <c r="O2" s="44" t="s">
        <v>64</v>
      </c>
      <c r="P2" s="44"/>
      <c r="AM2" s="44" t="s">
        <v>22</v>
      </c>
      <c r="AN2" s="44"/>
    </row>
    <row r="4" spans="1:40" ht="35.25" customHeight="1" x14ac:dyDescent="0.3">
      <c r="A4" s="43" t="s">
        <v>24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40" x14ac:dyDescent="0.25">
      <c r="S5" t="s">
        <v>25</v>
      </c>
      <c r="AN5" t="s">
        <v>25</v>
      </c>
    </row>
    <row r="6" spans="1:40" ht="15" customHeight="1" x14ac:dyDescent="0.25">
      <c r="A6" s="45" t="s">
        <v>0</v>
      </c>
      <c r="B6" s="47" t="s">
        <v>1</v>
      </c>
      <c r="C6" s="41">
        <v>2019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1">
        <v>2020</v>
      </c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1">
        <v>2021</v>
      </c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</row>
    <row r="7" spans="1:40" ht="178.5" customHeight="1" x14ac:dyDescent="0.25">
      <c r="A7" s="46"/>
      <c r="B7" s="48"/>
      <c r="C7" s="4" t="s">
        <v>10</v>
      </c>
      <c r="D7" s="5" t="s">
        <v>11</v>
      </c>
      <c r="E7" s="5" t="s">
        <v>12</v>
      </c>
      <c r="F7" s="5" t="s">
        <v>13</v>
      </c>
      <c r="G7" s="5" t="s">
        <v>14</v>
      </c>
      <c r="H7" s="5" t="s">
        <v>15</v>
      </c>
      <c r="I7" s="5" t="s">
        <v>63</v>
      </c>
      <c r="J7" s="6" t="s">
        <v>16</v>
      </c>
      <c r="K7" s="5" t="s">
        <v>17</v>
      </c>
      <c r="L7" s="5" t="s">
        <v>18</v>
      </c>
      <c r="M7" s="5" t="s">
        <v>26</v>
      </c>
      <c r="N7" s="6" t="s">
        <v>23</v>
      </c>
      <c r="O7" s="6" t="s">
        <v>19</v>
      </c>
      <c r="P7" s="7" t="s">
        <v>20</v>
      </c>
      <c r="Q7" s="4" t="s">
        <v>10</v>
      </c>
      <c r="R7" s="5" t="s">
        <v>11</v>
      </c>
      <c r="S7" s="5" t="s">
        <v>12</v>
      </c>
      <c r="T7" s="5" t="s">
        <v>13</v>
      </c>
      <c r="U7" s="5" t="s">
        <v>14</v>
      </c>
      <c r="V7" s="5" t="s">
        <v>15</v>
      </c>
      <c r="W7" s="6" t="s">
        <v>16</v>
      </c>
      <c r="X7" s="5" t="s">
        <v>17</v>
      </c>
      <c r="Y7" s="5" t="s">
        <v>18</v>
      </c>
      <c r="Z7" s="6" t="s">
        <v>23</v>
      </c>
      <c r="AA7" s="6" t="s">
        <v>19</v>
      </c>
      <c r="AB7" s="7" t="s">
        <v>20</v>
      </c>
      <c r="AC7" s="4" t="s">
        <v>10</v>
      </c>
      <c r="AD7" s="5" t="s">
        <v>11</v>
      </c>
      <c r="AE7" s="5" t="s">
        <v>12</v>
      </c>
      <c r="AF7" s="5" t="s">
        <v>13</v>
      </c>
      <c r="AG7" s="5" t="s">
        <v>14</v>
      </c>
      <c r="AH7" s="5" t="s">
        <v>15</v>
      </c>
      <c r="AI7" s="6" t="s">
        <v>16</v>
      </c>
      <c r="AJ7" s="5" t="s">
        <v>17</v>
      </c>
      <c r="AK7" s="5" t="s">
        <v>18</v>
      </c>
      <c r="AL7" s="6" t="s">
        <v>23</v>
      </c>
      <c r="AM7" s="6" t="s">
        <v>19</v>
      </c>
      <c r="AN7" s="7" t="s">
        <v>20</v>
      </c>
    </row>
    <row r="8" spans="1:40" ht="40.5" customHeight="1" x14ac:dyDescent="0.3">
      <c r="A8" s="1">
        <v>1</v>
      </c>
      <c r="B8" s="2" t="s">
        <v>2</v>
      </c>
      <c r="C8" s="8">
        <v>218.1</v>
      </c>
      <c r="D8" s="8"/>
      <c r="E8" s="8">
        <v>625.29999999999995</v>
      </c>
      <c r="F8" s="8">
        <v>42.7</v>
      </c>
      <c r="G8" s="8">
        <v>20.2</v>
      </c>
      <c r="H8" s="8"/>
      <c r="I8" s="8">
        <v>210.6</v>
      </c>
      <c r="J8" s="8"/>
      <c r="K8" s="12"/>
      <c r="L8" s="8">
        <f>385.4+96.4</f>
        <v>481.79999999999995</v>
      </c>
      <c r="M8" s="8"/>
      <c r="N8" s="34">
        <f>161.99391+20.2704+120.12818+15.1428+25.188</f>
        <v>342.72329000000002</v>
      </c>
      <c r="O8" s="35">
        <f>4474.29565</f>
        <v>4474.29565</v>
      </c>
      <c r="P8" s="37">
        <f t="shared" ref="P8:P15" si="0">SUM(C8:O8)</f>
        <v>6415.7189400000007</v>
      </c>
      <c r="Q8" s="8">
        <v>218.1</v>
      </c>
      <c r="R8" s="8"/>
      <c r="S8" s="8">
        <v>625.29999999999995</v>
      </c>
      <c r="T8" s="8">
        <v>42.7</v>
      </c>
      <c r="U8" s="8">
        <v>20.2</v>
      </c>
      <c r="V8" s="8"/>
      <c r="W8" s="8"/>
      <c r="X8" s="8"/>
      <c r="Y8" s="8">
        <f>385.4+96.4</f>
        <v>481.79999999999995</v>
      </c>
      <c r="Z8" s="8"/>
      <c r="AA8" s="8">
        <v>2750</v>
      </c>
      <c r="AB8" s="9">
        <f t="shared" ref="AB8:AB15" si="1">SUM(Q8:AA8)</f>
        <v>4138.1000000000004</v>
      </c>
      <c r="AC8" s="8">
        <v>218.1</v>
      </c>
      <c r="AD8" s="8"/>
      <c r="AE8" s="8">
        <v>625.29999999999995</v>
      </c>
      <c r="AF8" s="8">
        <v>42.7</v>
      </c>
      <c r="AG8" s="8">
        <v>20.2</v>
      </c>
      <c r="AH8" s="8"/>
      <c r="AI8" s="8"/>
      <c r="AJ8" s="8"/>
      <c r="AK8" s="8">
        <f>385.4+96.4</f>
        <v>481.79999999999995</v>
      </c>
      <c r="AL8" s="8"/>
      <c r="AM8" s="8">
        <v>2750</v>
      </c>
      <c r="AN8" s="9">
        <f t="shared" ref="AN8:AN15" si="2">SUM(AC8:AM8)</f>
        <v>4138.1000000000004</v>
      </c>
    </row>
    <row r="9" spans="1:40" ht="18.75" x14ac:dyDescent="0.3">
      <c r="A9" s="1">
        <v>2</v>
      </c>
      <c r="B9" s="2" t="s">
        <v>3</v>
      </c>
      <c r="C9" s="8">
        <v>136.30000000000001</v>
      </c>
      <c r="D9" s="8">
        <v>44.8</v>
      </c>
      <c r="E9" s="8"/>
      <c r="F9" s="8">
        <v>42.7</v>
      </c>
      <c r="G9" s="8">
        <v>20.2</v>
      </c>
      <c r="H9" s="8">
        <v>11.9</v>
      </c>
      <c r="I9" s="8"/>
      <c r="J9" s="8">
        <v>2.8</v>
      </c>
      <c r="K9" s="12">
        <v>58.5</v>
      </c>
      <c r="L9" s="8">
        <f>115.6</f>
        <v>115.6</v>
      </c>
      <c r="M9" s="8"/>
      <c r="N9" s="34"/>
      <c r="O9" s="8">
        <v>1130.5</v>
      </c>
      <c r="P9" s="37">
        <f t="shared" si="0"/>
        <v>1563.3</v>
      </c>
      <c r="Q9" s="8">
        <v>136.30000000000001</v>
      </c>
      <c r="R9" s="8">
        <v>44.8</v>
      </c>
      <c r="S9" s="8"/>
      <c r="T9" s="8">
        <v>42.7</v>
      </c>
      <c r="U9" s="8">
        <v>20.2</v>
      </c>
      <c r="V9" s="8">
        <v>11.9</v>
      </c>
      <c r="W9" s="8">
        <v>2.8</v>
      </c>
      <c r="X9" s="8">
        <v>58.5</v>
      </c>
      <c r="Y9" s="8">
        <f>115.6</f>
        <v>115.6</v>
      </c>
      <c r="Z9" s="8"/>
      <c r="AA9" s="8">
        <v>1130.5</v>
      </c>
      <c r="AB9" s="9">
        <f t="shared" si="1"/>
        <v>1563.3</v>
      </c>
      <c r="AC9" s="8">
        <v>136.30000000000001</v>
      </c>
      <c r="AD9" s="8">
        <v>44.8</v>
      </c>
      <c r="AE9" s="8"/>
      <c r="AF9" s="8">
        <v>42.7</v>
      </c>
      <c r="AG9" s="8">
        <v>20.2</v>
      </c>
      <c r="AH9" s="8">
        <v>11.9</v>
      </c>
      <c r="AI9" s="8">
        <v>2.8</v>
      </c>
      <c r="AJ9" s="8">
        <v>58.5</v>
      </c>
      <c r="AK9" s="8">
        <f>115.6</f>
        <v>115.6</v>
      </c>
      <c r="AL9" s="8"/>
      <c r="AM9" s="8">
        <v>1130.5</v>
      </c>
      <c r="AN9" s="9">
        <f t="shared" si="2"/>
        <v>1563.3</v>
      </c>
    </row>
    <row r="10" spans="1:40" ht="18.75" x14ac:dyDescent="0.3">
      <c r="A10" s="1">
        <v>3</v>
      </c>
      <c r="B10" s="2" t="s">
        <v>4</v>
      </c>
      <c r="C10" s="8"/>
      <c r="D10" s="8">
        <v>44.8</v>
      </c>
      <c r="E10" s="8"/>
      <c r="F10" s="8">
        <v>42.7</v>
      </c>
      <c r="G10" s="8">
        <v>20.2</v>
      </c>
      <c r="H10" s="8">
        <v>11.9</v>
      </c>
      <c r="I10" s="8"/>
      <c r="J10" s="8">
        <v>2.8</v>
      </c>
      <c r="K10" s="12">
        <v>58.5</v>
      </c>
      <c r="L10" s="8">
        <f>192.7+115.6</f>
        <v>308.29999999999995</v>
      </c>
      <c r="M10" s="8"/>
      <c r="N10" s="34">
        <f>25.44418</f>
        <v>25.444179999999999</v>
      </c>
      <c r="O10" s="8">
        <v>204.4</v>
      </c>
      <c r="P10" s="36">
        <f t="shared" si="0"/>
        <v>719.04417999999987</v>
      </c>
      <c r="Q10" s="8"/>
      <c r="R10" s="8">
        <v>44.8</v>
      </c>
      <c r="S10" s="8"/>
      <c r="T10" s="8">
        <v>42.7</v>
      </c>
      <c r="U10" s="8">
        <v>20.2</v>
      </c>
      <c r="V10" s="8">
        <v>11.9</v>
      </c>
      <c r="W10" s="8">
        <v>2.8</v>
      </c>
      <c r="X10" s="8">
        <v>58.5</v>
      </c>
      <c r="Y10" s="8">
        <f>192.7+115.6</f>
        <v>308.29999999999995</v>
      </c>
      <c r="Z10" s="8"/>
      <c r="AA10" s="8">
        <v>204.4</v>
      </c>
      <c r="AB10" s="9">
        <f t="shared" si="1"/>
        <v>693.59999999999991</v>
      </c>
      <c r="AC10" s="8"/>
      <c r="AD10" s="8">
        <v>44.8</v>
      </c>
      <c r="AE10" s="8"/>
      <c r="AF10" s="8">
        <v>42.7</v>
      </c>
      <c r="AG10" s="8">
        <v>20.2</v>
      </c>
      <c r="AH10" s="8">
        <v>11.9</v>
      </c>
      <c r="AI10" s="8">
        <v>2.8</v>
      </c>
      <c r="AJ10" s="8">
        <v>58.5</v>
      </c>
      <c r="AK10" s="8">
        <f>192.7+115.6</f>
        <v>308.29999999999995</v>
      </c>
      <c r="AL10" s="8"/>
      <c r="AM10" s="8">
        <v>204.4</v>
      </c>
      <c r="AN10" s="9">
        <f t="shared" si="2"/>
        <v>693.59999999999991</v>
      </c>
    </row>
    <row r="11" spans="1:40" ht="37.5" x14ac:dyDescent="0.3">
      <c r="A11" s="1">
        <v>4</v>
      </c>
      <c r="B11" s="2" t="s">
        <v>5</v>
      </c>
      <c r="C11" s="8">
        <v>136.30000000000001</v>
      </c>
      <c r="D11" s="8"/>
      <c r="E11" s="8"/>
      <c r="F11" s="8">
        <v>42.7</v>
      </c>
      <c r="G11" s="8">
        <v>20.2</v>
      </c>
      <c r="H11" s="8">
        <v>11.9</v>
      </c>
      <c r="I11" s="8"/>
      <c r="J11" s="8">
        <v>2.8</v>
      </c>
      <c r="K11" s="8">
        <f>58.5-19.5</f>
        <v>39</v>
      </c>
      <c r="L11" s="8">
        <f>115.6+96.4</f>
        <v>212</v>
      </c>
      <c r="M11" s="8"/>
      <c r="N11" s="34"/>
      <c r="O11" s="8"/>
      <c r="P11" s="9">
        <f t="shared" si="0"/>
        <v>464.9</v>
      </c>
      <c r="Q11" s="8">
        <v>136.30000000000001</v>
      </c>
      <c r="R11" s="8"/>
      <c r="S11" s="8"/>
      <c r="T11" s="8">
        <v>42.7</v>
      </c>
      <c r="U11" s="8">
        <v>20.2</v>
      </c>
      <c r="V11" s="8">
        <v>11.9</v>
      </c>
      <c r="W11" s="8">
        <v>2.8</v>
      </c>
      <c r="X11" s="8">
        <v>58.5</v>
      </c>
      <c r="Y11" s="8">
        <f>115.6+96.4</f>
        <v>212</v>
      </c>
      <c r="Z11" s="8"/>
      <c r="AA11" s="8"/>
      <c r="AB11" s="9">
        <f t="shared" si="1"/>
        <v>484.4</v>
      </c>
      <c r="AC11" s="8">
        <v>136.30000000000001</v>
      </c>
      <c r="AD11" s="8"/>
      <c r="AE11" s="8"/>
      <c r="AF11" s="8">
        <v>42.7</v>
      </c>
      <c r="AG11" s="8">
        <v>20.2</v>
      </c>
      <c r="AH11" s="8">
        <v>11.9</v>
      </c>
      <c r="AI11" s="8">
        <v>2.8</v>
      </c>
      <c r="AJ11" s="8">
        <v>58.5</v>
      </c>
      <c r="AK11" s="8">
        <f>115.6+96.4</f>
        <v>212</v>
      </c>
      <c r="AL11" s="8"/>
      <c r="AM11" s="8"/>
      <c r="AN11" s="9">
        <f t="shared" si="2"/>
        <v>484.4</v>
      </c>
    </row>
    <row r="12" spans="1:40" ht="18.75" x14ac:dyDescent="0.3">
      <c r="A12" s="1">
        <v>5</v>
      </c>
      <c r="B12" s="2" t="s">
        <v>6</v>
      </c>
      <c r="C12" s="8">
        <v>136.30000000000001</v>
      </c>
      <c r="D12" s="8">
        <v>44.8</v>
      </c>
      <c r="E12" s="8"/>
      <c r="F12" s="8">
        <v>42.7</v>
      </c>
      <c r="G12" s="8">
        <v>20.2</v>
      </c>
      <c r="H12" s="8">
        <v>11.9</v>
      </c>
      <c r="I12" s="8"/>
      <c r="J12" s="8">
        <v>2.8</v>
      </c>
      <c r="K12" s="12">
        <v>58.5</v>
      </c>
      <c r="L12" s="8">
        <f>115.6+96.4</f>
        <v>212</v>
      </c>
      <c r="M12" s="8"/>
      <c r="N12" s="34"/>
      <c r="O12" s="8"/>
      <c r="P12" s="9">
        <f t="shared" si="0"/>
        <v>529.20000000000005</v>
      </c>
      <c r="Q12" s="8">
        <v>136.30000000000001</v>
      </c>
      <c r="R12" s="8">
        <v>44.8</v>
      </c>
      <c r="S12" s="8"/>
      <c r="T12" s="8">
        <v>42.7</v>
      </c>
      <c r="U12" s="8">
        <v>20.2</v>
      </c>
      <c r="V12" s="8">
        <v>11.9</v>
      </c>
      <c r="W12" s="8">
        <v>2.8</v>
      </c>
      <c r="X12" s="8">
        <v>58.5</v>
      </c>
      <c r="Y12" s="8">
        <f>115.6+96.4</f>
        <v>212</v>
      </c>
      <c r="Z12" s="8"/>
      <c r="AA12" s="8"/>
      <c r="AB12" s="9">
        <f t="shared" si="1"/>
        <v>529.20000000000005</v>
      </c>
      <c r="AC12" s="8">
        <v>136.30000000000001</v>
      </c>
      <c r="AD12" s="8">
        <v>44.8</v>
      </c>
      <c r="AE12" s="8"/>
      <c r="AF12" s="8">
        <v>42.7</v>
      </c>
      <c r="AG12" s="8">
        <v>20.2</v>
      </c>
      <c r="AH12" s="8">
        <v>11.9</v>
      </c>
      <c r="AI12" s="8">
        <v>2.8</v>
      </c>
      <c r="AJ12" s="8">
        <v>58.5</v>
      </c>
      <c r="AK12" s="8">
        <f>115.6+96.4</f>
        <v>212</v>
      </c>
      <c r="AL12" s="8"/>
      <c r="AM12" s="8"/>
      <c r="AN12" s="9">
        <f t="shared" si="2"/>
        <v>529.20000000000005</v>
      </c>
    </row>
    <row r="13" spans="1:40" ht="18.75" x14ac:dyDescent="0.3">
      <c r="A13" s="1">
        <v>6</v>
      </c>
      <c r="B13" s="2" t="s">
        <v>7</v>
      </c>
      <c r="C13" s="8">
        <v>136.30000000000001</v>
      </c>
      <c r="D13" s="8">
        <v>44.8</v>
      </c>
      <c r="E13" s="8"/>
      <c r="F13" s="8">
        <v>42.7</v>
      </c>
      <c r="G13" s="8">
        <v>20.2</v>
      </c>
      <c r="H13" s="8">
        <v>11.9</v>
      </c>
      <c r="I13" s="8"/>
      <c r="J13" s="8">
        <v>2.8</v>
      </c>
      <c r="K13" s="12">
        <v>58.5</v>
      </c>
      <c r="L13" s="8">
        <v>115.6</v>
      </c>
      <c r="M13" s="8"/>
      <c r="N13" s="34"/>
      <c r="O13" s="8">
        <v>604.29999999999995</v>
      </c>
      <c r="P13" s="9">
        <f t="shared" si="0"/>
        <v>1037.0999999999999</v>
      </c>
      <c r="Q13" s="8">
        <v>136.30000000000001</v>
      </c>
      <c r="R13" s="8">
        <v>44.8</v>
      </c>
      <c r="S13" s="8"/>
      <c r="T13" s="8">
        <v>42.7</v>
      </c>
      <c r="U13" s="8">
        <v>20.2</v>
      </c>
      <c r="V13" s="8">
        <v>11.9</v>
      </c>
      <c r="W13" s="8">
        <v>2.8</v>
      </c>
      <c r="X13" s="8">
        <v>58.5</v>
      </c>
      <c r="Y13" s="8">
        <v>115.6</v>
      </c>
      <c r="Z13" s="8"/>
      <c r="AA13" s="8">
        <v>604.29999999999995</v>
      </c>
      <c r="AB13" s="9">
        <f t="shared" si="1"/>
        <v>1037.0999999999999</v>
      </c>
      <c r="AC13" s="8">
        <v>136.30000000000001</v>
      </c>
      <c r="AD13" s="8">
        <v>44.8</v>
      </c>
      <c r="AE13" s="8"/>
      <c r="AF13" s="8">
        <v>42.7</v>
      </c>
      <c r="AG13" s="8">
        <v>20.2</v>
      </c>
      <c r="AH13" s="8">
        <v>11.9</v>
      </c>
      <c r="AI13" s="8">
        <v>2.8</v>
      </c>
      <c r="AJ13" s="8">
        <v>58.5</v>
      </c>
      <c r="AK13" s="8">
        <v>115.6</v>
      </c>
      <c r="AL13" s="8"/>
      <c r="AM13" s="8">
        <v>604.29999999999995</v>
      </c>
      <c r="AN13" s="9">
        <f t="shared" si="2"/>
        <v>1037.0999999999999</v>
      </c>
    </row>
    <row r="14" spans="1:40" ht="18.75" x14ac:dyDescent="0.3">
      <c r="A14" s="1">
        <v>7</v>
      </c>
      <c r="B14" s="2" t="s">
        <v>8</v>
      </c>
      <c r="C14" s="8"/>
      <c r="D14" s="8">
        <v>44.8</v>
      </c>
      <c r="E14" s="8"/>
      <c r="F14" s="8">
        <v>42.7</v>
      </c>
      <c r="G14" s="8">
        <v>20.2</v>
      </c>
      <c r="H14" s="8">
        <v>11.9</v>
      </c>
      <c r="I14" s="8"/>
      <c r="J14" s="8">
        <v>2.8</v>
      </c>
      <c r="K14" s="12">
        <v>58.5</v>
      </c>
      <c r="L14" s="8">
        <f>115.6+96.4</f>
        <v>212</v>
      </c>
      <c r="M14" s="8"/>
      <c r="N14" s="34"/>
      <c r="O14" s="8"/>
      <c r="P14" s="9">
        <f t="shared" si="0"/>
        <v>392.9</v>
      </c>
      <c r="Q14" s="8"/>
      <c r="R14" s="8">
        <v>44.8</v>
      </c>
      <c r="S14" s="8"/>
      <c r="T14" s="8">
        <v>42.7</v>
      </c>
      <c r="U14" s="8">
        <v>20.2</v>
      </c>
      <c r="V14" s="8">
        <v>11.9</v>
      </c>
      <c r="W14" s="8">
        <v>2.8</v>
      </c>
      <c r="X14" s="8">
        <v>58.5</v>
      </c>
      <c r="Y14" s="8">
        <f>115.6+96.4</f>
        <v>212</v>
      </c>
      <c r="Z14" s="8"/>
      <c r="AA14" s="8"/>
      <c r="AB14" s="9">
        <f t="shared" si="1"/>
        <v>392.9</v>
      </c>
      <c r="AC14" s="8"/>
      <c r="AD14" s="8">
        <v>44.8</v>
      </c>
      <c r="AE14" s="8"/>
      <c r="AF14" s="8">
        <v>42.7</v>
      </c>
      <c r="AG14" s="8">
        <v>20.2</v>
      </c>
      <c r="AH14" s="8">
        <v>11.9</v>
      </c>
      <c r="AI14" s="8">
        <v>2.8</v>
      </c>
      <c r="AJ14" s="8">
        <v>58.5</v>
      </c>
      <c r="AK14" s="8">
        <f>115.6+96.4</f>
        <v>212</v>
      </c>
      <c r="AL14" s="8"/>
      <c r="AM14" s="8"/>
      <c r="AN14" s="9">
        <f t="shared" si="2"/>
        <v>392.9</v>
      </c>
    </row>
    <row r="15" spans="1:40" ht="18.75" x14ac:dyDescent="0.3">
      <c r="A15" s="1"/>
      <c r="B15" s="3" t="s">
        <v>9</v>
      </c>
      <c r="C15" s="8">
        <f>SUM(C8:C14)</f>
        <v>763.3</v>
      </c>
      <c r="D15" s="8">
        <f t="shared" ref="D15:O15" si="3">SUM(D8:D14)</f>
        <v>224</v>
      </c>
      <c r="E15" s="8">
        <f t="shared" si="3"/>
        <v>625.29999999999995</v>
      </c>
      <c r="F15" s="8">
        <f t="shared" si="3"/>
        <v>298.89999999999998</v>
      </c>
      <c r="G15" s="8">
        <f t="shared" si="3"/>
        <v>141.4</v>
      </c>
      <c r="H15" s="8">
        <f t="shared" si="3"/>
        <v>71.400000000000006</v>
      </c>
      <c r="I15" s="8">
        <f t="shared" si="3"/>
        <v>210.6</v>
      </c>
      <c r="J15" s="8">
        <f t="shared" si="3"/>
        <v>16.8</v>
      </c>
      <c r="K15" s="8">
        <f t="shared" si="3"/>
        <v>331.5</v>
      </c>
      <c r="L15" s="8">
        <f t="shared" si="3"/>
        <v>1657.2999999999997</v>
      </c>
      <c r="M15" s="8">
        <f t="shared" si="3"/>
        <v>0</v>
      </c>
      <c r="N15" s="34">
        <f t="shared" si="3"/>
        <v>368.16747000000004</v>
      </c>
      <c r="O15" s="8">
        <f t="shared" si="3"/>
        <v>6413.4956499999998</v>
      </c>
      <c r="P15" s="9">
        <f t="shared" si="0"/>
        <v>11122.163120000001</v>
      </c>
      <c r="Q15" s="8">
        <f t="shared" ref="Q15:AA15" si="4">SUM(Q8:Q14)</f>
        <v>763.3</v>
      </c>
      <c r="R15" s="8">
        <f t="shared" si="4"/>
        <v>224</v>
      </c>
      <c r="S15" s="8">
        <f t="shared" si="4"/>
        <v>625.29999999999995</v>
      </c>
      <c r="T15" s="8">
        <f t="shared" si="4"/>
        <v>298.89999999999998</v>
      </c>
      <c r="U15" s="8">
        <f t="shared" si="4"/>
        <v>141.4</v>
      </c>
      <c r="V15" s="8">
        <f t="shared" si="4"/>
        <v>71.400000000000006</v>
      </c>
      <c r="W15" s="8">
        <f t="shared" si="4"/>
        <v>16.8</v>
      </c>
      <c r="X15" s="8">
        <f t="shared" si="4"/>
        <v>351</v>
      </c>
      <c r="Y15" s="8">
        <f t="shared" si="4"/>
        <v>1657.2999999999997</v>
      </c>
      <c r="Z15" s="8">
        <f t="shared" si="4"/>
        <v>0</v>
      </c>
      <c r="AA15" s="8">
        <f t="shared" si="4"/>
        <v>4689.2</v>
      </c>
      <c r="AB15" s="9">
        <f t="shared" si="1"/>
        <v>8838.5999999999985</v>
      </c>
      <c r="AC15" s="8">
        <f t="shared" ref="AC15:AM15" si="5">SUM(AC8:AC14)</f>
        <v>763.3</v>
      </c>
      <c r="AD15" s="8">
        <f t="shared" si="5"/>
        <v>224</v>
      </c>
      <c r="AE15" s="8">
        <f t="shared" si="5"/>
        <v>625.29999999999995</v>
      </c>
      <c r="AF15" s="8">
        <f t="shared" si="5"/>
        <v>298.89999999999998</v>
      </c>
      <c r="AG15" s="8">
        <f t="shared" si="5"/>
        <v>141.4</v>
      </c>
      <c r="AH15" s="8">
        <f t="shared" si="5"/>
        <v>71.400000000000006</v>
      </c>
      <c r="AI15" s="8">
        <f t="shared" si="5"/>
        <v>16.8</v>
      </c>
      <c r="AJ15" s="8">
        <f t="shared" si="5"/>
        <v>351</v>
      </c>
      <c r="AK15" s="8">
        <f t="shared" si="5"/>
        <v>1657.2999999999997</v>
      </c>
      <c r="AL15" s="8">
        <f t="shared" si="5"/>
        <v>0</v>
      </c>
      <c r="AM15" s="8">
        <f t="shared" si="5"/>
        <v>4689.2</v>
      </c>
      <c r="AN15" s="9">
        <f t="shared" si="2"/>
        <v>8838.5999999999985</v>
      </c>
    </row>
    <row r="16" spans="1:40" ht="18.75" x14ac:dyDescent="0.3">
      <c r="B16" s="49" t="s">
        <v>65</v>
      </c>
      <c r="C16" s="50">
        <f>C15*0.9</f>
        <v>686.97</v>
      </c>
      <c r="D16" s="50">
        <f t="shared" ref="D16:K16" si="6">D15*0.9</f>
        <v>201.6</v>
      </c>
      <c r="E16" s="50">
        <f t="shared" si="6"/>
        <v>562.77</v>
      </c>
      <c r="F16" s="50">
        <f t="shared" si="6"/>
        <v>269.01</v>
      </c>
      <c r="G16" s="50">
        <f t="shared" si="6"/>
        <v>127.26</v>
      </c>
      <c r="H16" s="50">
        <f t="shared" si="6"/>
        <v>64.260000000000005</v>
      </c>
      <c r="I16" s="50">
        <f t="shared" si="6"/>
        <v>189.54</v>
      </c>
      <c r="J16" s="50">
        <f t="shared" si="6"/>
        <v>15.120000000000001</v>
      </c>
      <c r="K16" s="50">
        <f t="shared" si="6"/>
        <v>298.35000000000002</v>
      </c>
      <c r="O16" s="31"/>
      <c r="P16" s="38"/>
      <c r="Q16" s="31"/>
    </row>
    <row r="17" spans="2:17" ht="18.75" x14ac:dyDescent="0.25">
      <c r="B17" s="49" t="s">
        <v>9</v>
      </c>
      <c r="C17" s="50"/>
      <c r="D17" s="50"/>
      <c r="E17" s="50"/>
      <c r="F17" s="50"/>
      <c r="G17" s="50"/>
      <c r="H17" s="50"/>
      <c r="I17" s="50"/>
      <c r="J17" s="50"/>
      <c r="K17" s="50">
        <f>C16+D16+E16+F16+G16+H16+I16+J16+K16</f>
        <v>2414.88</v>
      </c>
      <c r="L17" s="33"/>
      <c r="M17" s="33"/>
      <c r="N17" s="33"/>
      <c r="O17" s="39"/>
      <c r="P17" s="40"/>
      <c r="Q17" s="31"/>
    </row>
  </sheetData>
  <mergeCells count="8">
    <mergeCell ref="Q6:AB6"/>
    <mergeCell ref="AC6:AN6"/>
    <mergeCell ref="A4:P4"/>
    <mergeCell ref="O2:P2"/>
    <mergeCell ref="A6:A7"/>
    <mergeCell ref="B6:B7"/>
    <mergeCell ref="C6:P6"/>
    <mergeCell ref="AM2:AN2"/>
  </mergeCells>
  <pageMargins left="0" right="0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39"/>
  <sheetViews>
    <sheetView workbookViewId="0">
      <selection activeCell="G6" sqref="G6"/>
    </sheetView>
  </sheetViews>
  <sheetFormatPr defaultRowHeight="15" x14ac:dyDescent="0.25"/>
  <cols>
    <col min="2" max="2" width="40.42578125" customWidth="1"/>
    <col min="3" max="3" width="9.5703125" bestFit="1" customWidth="1"/>
    <col min="4" max="4" width="11" bestFit="1" customWidth="1"/>
    <col min="5" max="5" width="10" bestFit="1" customWidth="1"/>
    <col min="6" max="6" width="10.7109375" customWidth="1"/>
    <col min="7" max="7" width="10.42578125" customWidth="1"/>
    <col min="8" max="8" width="10.85546875" bestFit="1" customWidth="1"/>
    <col min="9" max="9" width="0" hidden="1" customWidth="1"/>
    <col min="10" max="10" width="10" customWidth="1"/>
    <col min="11" max="11" width="12" customWidth="1"/>
    <col min="12" max="12" width="11.5703125" customWidth="1"/>
    <col min="15" max="15" width="12.42578125" customWidth="1"/>
  </cols>
  <sheetData>
    <row r="2" spans="2:17" x14ac:dyDescent="0.25">
      <c r="C2" t="s">
        <v>48</v>
      </c>
      <c r="F2" t="s">
        <v>52</v>
      </c>
      <c r="G2" t="s">
        <v>52</v>
      </c>
      <c r="H2" t="s">
        <v>53</v>
      </c>
      <c r="L2" s="23" t="s">
        <v>54</v>
      </c>
      <c r="M2" s="23"/>
      <c r="N2" s="23" t="s">
        <v>55</v>
      </c>
      <c r="O2" s="23" t="s">
        <v>56</v>
      </c>
    </row>
    <row r="3" spans="2:17" x14ac:dyDescent="0.25">
      <c r="B3" s="11" t="s">
        <v>50</v>
      </c>
      <c r="C3" s="18">
        <v>1781.933</v>
      </c>
      <c r="D3" s="11">
        <v>1141.2999500000001</v>
      </c>
      <c r="E3" s="11">
        <v>485.62956000000003</v>
      </c>
      <c r="F3" s="18">
        <f>C3-D3-E3</f>
        <v>155.00348999999989</v>
      </c>
      <c r="G3" s="11">
        <v>20.270399999999999</v>
      </c>
      <c r="H3" s="22">
        <f>153.23368+16.1844</f>
        <v>169.41808</v>
      </c>
      <c r="I3" s="22"/>
      <c r="J3" s="22">
        <f>F3+G3-H3</f>
        <v>5.8558099999998774</v>
      </c>
      <c r="K3" s="22">
        <f>1618.38</f>
        <v>1618.38</v>
      </c>
      <c r="L3" s="22">
        <f>K3-C3</f>
        <v>-163.55299999999988</v>
      </c>
      <c r="M3" s="11"/>
      <c r="N3" s="11">
        <f>16.1844-G3</f>
        <v>-4.0859999999999985</v>
      </c>
      <c r="O3" s="22">
        <f>L3+N3</f>
        <v>-167.6389999999999</v>
      </c>
      <c r="P3" s="20"/>
      <c r="Q3" s="20"/>
    </row>
    <row r="4" spans="2:17" x14ac:dyDescent="0.25">
      <c r="B4" s="11" t="s">
        <v>51</v>
      </c>
      <c r="C4" s="18">
        <v>1321.41</v>
      </c>
      <c r="D4" s="11">
        <v>1028.9778200000001</v>
      </c>
      <c r="E4" s="11">
        <v>247.67744999999999</v>
      </c>
      <c r="F4" s="18">
        <f>C4-D4-E4</f>
        <v>44.754730000000023</v>
      </c>
      <c r="G4" s="11">
        <v>15.142799999999999</v>
      </c>
      <c r="H4" s="21">
        <f>150.30072+15.8712</f>
        <v>166.17192</v>
      </c>
      <c r="I4" s="21"/>
      <c r="J4" s="11">
        <f>H4+G4</f>
        <v>181.31471999999999</v>
      </c>
      <c r="K4" s="11">
        <v>1587.1248000000001</v>
      </c>
      <c r="L4" s="22">
        <f>K4-C4</f>
        <v>265.71479999999997</v>
      </c>
      <c r="M4" s="11"/>
      <c r="N4" s="11">
        <f>15.8712-G4</f>
        <v>0.7284000000000006</v>
      </c>
      <c r="O4" s="22">
        <f>L4+N4</f>
        <v>266.44319999999999</v>
      </c>
      <c r="P4" s="20"/>
      <c r="Q4" s="20"/>
    </row>
    <row r="5" spans="2:17" x14ac:dyDescent="0.25">
      <c r="B5" s="11" t="s">
        <v>49</v>
      </c>
      <c r="C5" s="11">
        <v>279.88600000000002</v>
      </c>
      <c r="D5" s="11">
        <v>190.18195</v>
      </c>
      <c r="E5" s="11">
        <v>64.259870000000006</v>
      </c>
      <c r="F5" s="18">
        <f>C5-D5-E5</f>
        <v>25.444180000000017</v>
      </c>
      <c r="G5" s="11">
        <v>2.7984</v>
      </c>
      <c r="H5" s="11">
        <f>26.785+2.8284</f>
        <v>29.613399999999999</v>
      </c>
      <c r="I5" s="11"/>
      <c r="J5" s="11">
        <f>H5+G5</f>
        <v>32.411799999999999</v>
      </c>
      <c r="K5" s="11">
        <v>282.84120000000001</v>
      </c>
      <c r="L5" s="22">
        <f>K5-C5</f>
        <v>2.9551999999999907</v>
      </c>
      <c r="M5" s="11"/>
      <c r="N5" s="11">
        <f>2.8284-G5</f>
        <v>2.9999999999999805E-2</v>
      </c>
      <c r="O5" s="22">
        <f>L5+N5</f>
        <v>2.9851999999999905</v>
      </c>
      <c r="P5" s="20"/>
      <c r="Q5" s="20"/>
    </row>
    <row r="6" spans="2:17" x14ac:dyDescent="0.25">
      <c r="B6" s="11"/>
      <c r="C6" s="18">
        <f t="shared" ref="C6:H6" si="0">SUM(C3:C5)</f>
        <v>3383.2289999999998</v>
      </c>
      <c r="D6" s="21">
        <f t="shared" si="0"/>
        <v>2360.4597200000003</v>
      </c>
      <c r="E6" s="21">
        <f t="shared" si="0"/>
        <v>797.56687999999997</v>
      </c>
      <c r="F6" s="21">
        <f t="shared" si="0"/>
        <v>225.20239999999993</v>
      </c>
      <c r="G6" s="11">
        <f t="shared" si="0"/>
        <v>38.211599999999997</v>
      </c>
      <c r="H6" s="11">
        <f t="shared" si="0"/>
        <v>365.20340000000004</v>
      </c>
      <c r="I6" s="11"/>
      <c r="J6" s="11">
        <f>SUM(J3:J5)</f>
        <v>219.58232999999987</v>
      </c>
      <c r="K6" s="22">
        <f>SUM(K3:K5)</f>
        <v>3488.346</v>
      </c>
      <c r="L6" s="22">
        <f>SUM(L3:L5)</f>
        <v>105.11700000000008</v>
      </c>
      <c r="M6" s="22">
        <f>SUM(M3:M5)</f>
        <v>0</v>
      </c>
      <c r="N6" s="22">
        <f>SUM(N3:N5)</f>
        <v>-3.3275999999999981</v>
      </c>
      <c r="O6" s="22">
        <f>L6+N6</f>
        <v>101.78940000000007</v>
      </c>
      <c r="P6" s="20"/>
      <c r="Q6" s="20"/>
    </row>
    <row r="7" spans="2:17" x14ac:dyDescent="0.25">
      <c r="B7" s="11"/>
      <c r="C7" s="11"/>
      <c r="D7" s="11"/>
      <c r="E7" s="11"/>
      <c r="F7" s="11"/>
      <c r="G7" s="11">
        <f>F6+G6</f>
        <v>263.41399999999993</v>
      </c>
      <c r="H7" s="11">
        <f>G7-H6</f>
        <v>-101.78940000000011</v>
      </c>
      <c r="I7" s="11"/>
      <c r="J7" s="11"/>
      <c r="K7" s="11"/>
      <c r="L7" s="11"/>
      <c r="M7" s="11"/>
      <c r="N7" s="11"/>
      <c r="O7" s="11"/>
      <c r="P7" s="20"/>
      <c r="Q7" s="20"/>
    </row>
    <row r="8" spans="2:17" x14ac:dyDescent="0.25">
      <c r="B8" s="11" t="s">
        <v>57</v>
      </c>
      <c r="C8" s="18">
        <f t="shared" ref="C8:H8" si="1">C3+C4</f>
        <v>3103.3429999999998</v>
      </c>
      <c r="D8" s="18">
        <f t="shared" si="1"/>
        <v>2170.2777700000001</v>
      </c>
      <c r="E8" s="18">
        <f t="shared" si="1"/>
        <v>733.30700999999999</v>
      </c>
      <c r="F8" s="18">
        <f t="shared" si="1"/>
        <v>199.75821999999991</v>
      </c>
      <c r="G8" s="18">
        <f t="shared" si="1"/>
        <v>35.413199999999996</v>
      </c>
      <c r="H8" s="18">
        <f t="shared" si="1"/>
        <v>335.59000000000003</v>
      </c>
      <c r="I8" s="18"/>
      <c r="J8" s="18">
        <f t="shared" ref="J8:O8" si="2">J3+J4</f>
        <v>187.17052999999987</v>
      </c>
      <c r="K8" s="18">
        <f t="shared" si="2"/>
        <v>3205.5048000000002</v>
      </c>
      <c r="L8" s="18">
        <f t="shared" si="2"/>
        <v>102.16180000000008</v>
      </c>
      <c r="M8" s="18">
        <f t="shared" si="2"/>
        <v>0</v>
      </c>
      <c r="N8" s="18">
        <f t="shared" si="2"/>
        <v>-3.3575999999999979</v>
      </c>
      <c r="O8" s="18">
        <f t="shared" si="2"/>
        <v>98.804200000000094</v>
      </c>
      <c r="P8" s="20"/>
      <c r="Q8" s="20"/>
    </row>
    <row r="9" spans="2:17" x14ac:dyDescent="0.25">
      <c r="B9" s="31"/>
      <c r="C9" s="32">
        <f>C3+C4</f>
        <v>3103.3429999999998</v>
      </c>
      <c r="D9" s="32">
        <f t="shared" ref="D9:H9" si="3">D3+D4</f>
        <v>2170.2777700000001</v>
      </c>
      <c r="E9" s="32">
        <f t="shared" si="3"/>
        <v>733.30700999999999</v>
      </c>
      <c r="F9" s="32">
        <f t="shared" si="3"/>
        <v>199.75821999999991</v>
      </c>
      <c r="G9" s="32">
        <f t="shared" si="3"/>
        <v>35.413199999999996</v>
      </c>
      <c r="H9" s="32">
        <f t="shared" si="3"/>
        <v>335.59000000000003</v>
      </c>
      <c r="I9" s="32"/>
      <c r="J9" s="32"/>
      <c r="K9" s="32"/>
      <c r="L9" s="32"/>
      <c r="M9" s="32"/>
      <c r="N9" s="32"/>
      <c r="O9" s="32"/>
      <c r="P9" s="20"/>
      <c r="Q9" s="20"/>
    </row>
    <row r="10" spans="2:17" x14ac:dyDescent="0.25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20"/>
      <c r="Q10" s="20"/>
    </row>
    <row r="11" spans="2:17" x14ac:dyDescent="0.25">
      <c r="B11" s="31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20"/>
      <c r="Q11" s="20"/>
    </row>
    <row r="12" spans="2:17" x14ac:dyDescent="0.25">
      <c r="B12" s="31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20"/>
      <c r="Q12" s="20"/>
    </row>
    <row r="13" spans="2:17" x14ac:dyDescent="0.25">
      <c r="G13" s="24">
        <f>F8+G8</f>
        <v>235.1714199999999</v>
      </c>
      <c r="H13" s="20"/>
      <c r="I13" s="20"/>
      <c r="O13" s="20">
        <f>H8-O8</f>
        <v>236.78579999999994</v>
      </c>
    </row>
    <row r="14" spans="2:17" ht="15.75" thickBot="1" x14ac:dyDescent="0.3">
      <c r="G14" s="20"/>
      <c r="H14" s="20"/>
      <c r="I14" s="20"/>
      <c r="O14" s="20">
        <f>O13-G13</f>
        <v>1.6143800000000397</v>
      </c>
    </row>
    <row r="15" spans="2:17" ht="15.75" thickBot="1" x14ac:dyDescent="0.3">
      <c r="B15" s="25" t="s">
        <v>46</v>
      </c>
      <c r="C15" s="26"/>
      <c r="D15" s="27">
        <f>SUM(D16:D20)</f>
        <v>20180.695270000004</v>
      </c>
    </row>
    <row r="16" spans="2:17" x14ac:dyDescent="0.25">
      <c r="B16" s="16" t="s">
        <v>41</v>
      </c>
      <c r="C16" s="16"/>
      <c r="D16" s="16">
        <v>11181.6</v>
      </c>
    </row>
    <row r="17" spans="2:15" x14ac:dyDescent="0.25">
      <c r="B17" s="11" t="s">
        <v>42</v>
      </c>
      <c r="C17" s="11"/>
      <c r="D17" s="11"/>
      <c r="E17">
        <v>5899.7</v>
      </c>
    </row>
    <row r="18" spans="2:15" x14ac:dyDescent="0.25">
      <c r="B18" s="11" t="s">
        <v>43</v>
      </c>
      <c r="C18" s="11"/>
      <c r="D18" s="11">
        <f>337.6+210.6</f>
        <v>548.20000000000005</v>
      </c>
      <c r="O18">
        <v>369.71771000000001</v>
      </c>
    </row>
    <row r="19" spans="2:15" ht="30" x14ac:dyDescent="0.25">
      <c r="B19" s="30" t="s">
        <v>62</v>
      </c>
      <c r="C19" s="11"/>
      <c r="D19" s="13">
        <f>4228.09-3157.89473+150+18.2+232.2+2000+328.8-19.5</f>
        <v>3779.8952700000004</v>
      </c>
      <c r="O19" s="20">
        <f>O18-H8</f>
        <v>34.127709999999979</v>
      </c>
    </row>
    <row r="20" spans="2:15" ht="15.75" thickBot="1" x14ac:dyDescent="0.3">
      <c r="B20" s="15" t="s">
        <v>59</v>
      </c>
      <c r="C20" s="15"/>
      <c r="D20" s="19">
        <f>3000+1671</f>
        <v>4671</v>
      </c>
    </row>
    <row r="21" spans="2:15" ht="15.75" thickBot="1" x14ac:dyDescent="0.3">
      <c r="B21" s="25" t="s">
        <v>40</v>
      </c>
      <c r="C21" s="26"/>
      <c r="D21" s="27">
        <f>SUM(D22:D38)</f>
        <v>18750.264999999999</v>
      </c>
    </row>
    <row r="22" spans="2:15" x14ac:dyDescent="0.25">
      <c r="B22" s="28" t="s">
        <v>60</v>
      </c>
      <c r="C22" s="28"/>
      <c r="D22" s="29">
        <v>4063.5</v>
      </c>
    </row>
    <row r="23" spans="2:15" hidden="1" x14ac:dyDescent="0.25">
      <c r="B23" s="16" t="s">
        <v>27</v>
      </c>
      <c r="C23" s="16"/>
      <c r="D23" s="17"/>
    </row>
    <row r="24" spans="2:15" x14ac:dyDescent="0.25">
      <c r="B24" s="11" t="s">
        <v>28</v>
      </c>
      <c r="C24" s="11"/>
      <c r="D24" s="13">
        <v>400</v>
      </c>
    </row>
    <row r="25" spans="2:15" x14ac:dyDescent="0.25">
      <c r="B25" s="11" t="s">
        <v>29</v>
      </c>
      <c r="C25" s="11"/>
      <c r="D25" s="11">
        <v>20</v>
      </c>
    </row>
    <row r="26" spans="2:15" x14ac:dyDescent="0.25">
      <c r="B26" s="11" t="s">
        <v>30</v>
      </c>
      <c r="C26" s="11"/>
      <c r="D26" s="11">
        <v>43.3</v>
      </c>
    </row>
    <row r="27" spans="2:15" x14ac:dyDescent="0.25">
      <c r="B27" s="11" t="s">
        <v>31</v>
      </c>
      <c r="C27" s="11"/>
      <c r="D27" s="11">
        <v>150.6</v>
      </c>
    </row>
    <row r="28" spans="2:15" x14ac:dyDescent="0.25">
      <c r="B28" s="11" t="s">
        <v>32</v>
      </c>
      <c r="C28" s="11"/>
      <c r="D28" s="11">
        <v>120</v>
      </c>
    </row>
    <row r="29" spans="2:15" x14ac:dyDescent="0.25">
      <c r="B29" s="11" t="s">
        <v>33</v>
      </c>
      <c r="C29" s="11"/>
      <c r="D29" s="11">
        <v>220</v>
      </c>
    </row>
    <row r="30" spans="2:15" x14ac:dyDescent="0.25">
      <c r="B30" s="11" t="s">
        <v>34</v>
      </c>
      <c r="C30" s="11"/>
      <c r="D30" s="11">
        <v>100</v>
      </c>
    </row>
    <row r="31" spans="2:15" hidden="1" x14ac:dyDescent="0.25">
      <c r="B31" s="14" t="s">
        <v>35</v>
      </c>
      <c r="C31" s="14"/>
      <c r="D31" s="14"/>
    </row>
    <row r="32" spans="2:15" x14ac:dyDescent="0.25">
      <c r="B32" s="11" t="s">
        <v>36</v>
      </c>
      <c r="C32" s="11"/>
      <c r="D32" s="11">
        <v>335</v>
      </c>
    </row>
    <row r="33" spans="2:4" x14ac:dyDescent="0.25">
      <c r="B33" s="11" t="s">
        <v>37</v>
      </c>
      <c r="C33" s="11"/>
      <c r="D33" s="11">
        <v>623.26499999999999</v>
      </c>
    </row>
    <row r="34" spans="2:4" x14ac:dyDescent="0.25">
      <c r="B34" s="11" t="s">
        <v>45</v>
      </c>
      <c r="C34" s="11"/>
      <c r="D34" s="11">
        <v>310</v>
      </c>
    </row>
    <row r="35" spans="2:4" x14ac:dyDescent="0.25">
      <c r="B35" s="11" t="s">
        <v>44</v>
      </c>
      <c r="C35" s="11"/>
      <c r="D35" s="11">
        <v>7024.2</v>
      </c>
    </row>
    <row r="36" spans="2:4" hidden="1" x14ac:dyDescent="0.25">
      <c r="B36" s="11" t="s">
        <v>38</v>
      </c>
      <c r="C36" s="11"/>
      <c r="D36" s="14"/>
    </row>
    <row r="37" spans="2:4" hidden="1" x14ac:dyDescent="0.25">
      <c r="B37" s="11" t="s">
        <v>39</v>
      </c>
      <c r="C37" s="11"/>
      <c r="D37" s="11"/>
    </row>
    <row r="38" spans="2:4" ht="15.75" thickBot="1" x14ac:dyDescent="0.3">
      <c r="B38" s="15" t="s">
        <v>58</v>
      </c>
      <c r="C38" s="15"/>
      <c r="D38" s="15">
        <v>5340.4</v>
      </c>
    </row>
    <row r="39" spans="2:4" ht="15.75" thickBot="1" x14ac:dyDescent="0.3">
      <c r="B39" s="25" t="s">
        <v>47</v>
      </c>
      <c r="C39" s="26"/>
      <c r="D39" s="27">
        <f>D15-D21</f>
        <v>1430.4302700000044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Расчет комф и поправок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2020-01-17T06:32:32Z</dcterms:modified>
</cp:coreProperties>
</file>